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ser\Desktop\UPDATED\CENTRUM\"/>
    </mc:Choice>
  </mc:AlternateContent>
  <bookViews>
    <workbookView xWindow="0" yWindow="0" windowWidth="20490" windowHeight="7755" tabRatio="500"/>
  </bookViews>
  <sheets>
    <sheet name="Financial Data" sheetId="1" r:id="rId1"/>
    <sheet name="Financial Ratios" sheetId="2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42602.9390625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0">'Financial Ratios'!$A$1:$H$28</definedName>
  </definedName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6" i="1" l="1"/>
  <c r="D20" i="1"/>
  <c r="D8" i="2"/>
  <c r="H8" i="2"/>
  <c r="D5" i="2"/>
  <c r="H5" i="2"/>
  <c r="E25" i="1"/>
  <c r="F23" i="1"/>
  <c r="F22" i="1"/>
  <c r="F19" i="1"/>
  <c r="F18" i="1"/>
  <c r="F16" i="1"/>
  <c r="F15" i="1"/>
  <c r="F13" i="1"/>
  <c r="F12" i="1"/>
  <c r="F11" i="1"/>
  <c r="F10" i="1"/>
  <c r="F6" i="1"/>
  <c r="F7" i="1"/>
  <c r="F9" i="1"/>
  <c r="F8" i="1"/>
  <c r="F5" i="1"/>
  <c r="G8" i="2"/>
  <c r="F8" i="2"/>
  <c r="E19" i="1"/>
  <c r="C19" i="1"/>
  <c r="E23" i="1"/>
  <c r="E22" i="1"/>
  <c r="E18" i="1"/>
  <c r="E16" i="1"/>
  <c r="E15" i="1"/>
  <c r="E13" i="1"/>
  <c r="E12" i="1"/>
  <c r="E11" i="1"/>
  <c r="E10" i="1"/>
  <c r="E9" i="1"/>
  <c r="E8" i="1"/>
  <c r="E7" i="1"/>
  <c r="E6" i="1"/>
  <c r="E5" i="1"/>
  <c r="C26" i="1"/>
  <c r="C23" i="1"/>
  <c r="C22" i="1"/>
  <c r="C18" i="1"/>
  <c r="C16" i="1"/>
  <c r="C15" i="1"/>
  <c r="C17" i="1"/>
  <c r="C13" i="1"/>
  <c r="C12" i="1"/>
  <c r="C11" i="1"/>
  <c r="C10" i="1"/>
  <c r="C9" i="1"/>
  <c r="C8" i="1"/>
  <c r="C7" i="1"/>
  <c r="C6" i="1"/>
  <c r="C5" i="1"/>
  <c r="B26" i="1"/>
  <c r="B23" i="1"/>
  <c r="B22" i="1"/>
  <c r="B18" i="1"/>
  <c r="B17" i="1"/>
  <c r="B16" i="1"/>
  <c r="B15" i="1"/>
  <c r="B13" i="1"/>
  <c r="B12" i="1"/>
  <c r="B11" i="1"/>
  <c r="B10" i="1"/>
  <c r="B9" i="1"/>
  <c r="B8" i="1"/>
  <c r="B7" i="1"/>
  <c r="B6" i="1"/>
  <c r="B5" i="1"/>
  <c r="B13" i="2"/>
  <c r="C5" i="2"/>
  <c r="A1" i="2"/>
  <c r="A2" i="2"/>
  <c r="B2" i="2"/>
  <c r="C2" i="2"/>
  <c r="D2" i="2"/>
  <c r="E2" i="2"/>
  <c r="F2" i="2"/>
  <c r="G2" i="2"/>
  <c r="A3" i="2"/>
  <c r="B3" i="2"/>
  <c r="C3" i="2"/>
  <c r="D3" i="2"/>
  <c r="E3" i="2"/>
  <c r="F3" i="2"/>
  <c r="G3" i="2"/>
  <c r="B5" i="2"/>
  <c r="E5" i="2"/>
  <c r="F5" i="2"/>
  <c r="G5" i="2"/>
  <c r="B6" i="2"/>
  <c r="C6" i="2"/>
  <c r="D6" i="2"/>
  <c r="E6" i="2"/>
  <c r="F6" i="2"/>
  <c r="G6" i="2"/>
  <c r="H6" i="2"/>
  <c r="B8" i="2"/>
  <c r="C8" i="2"/>
  <c r="E8" i="2"/>
  <c r="B9" i="2"/>
  <c r="C9" i="2"/>
  <c r="D9" i="2"/>
  <c r="E9" i="2"/>
  <c r="F9" i="2"/>
  <c r="G9" i="2"/>
  <c r="H9" i="2"/>
  <c r="B10" i="2"/>
  <c r="C10" i="2"/>
  <c r="D10" i="2"/>
  <c r="E10" i="2"/>
  <c r="F10" i="2"/>
  <c r="G10" i="2"/>
  <c r="H10" i="2"/>
  <c r="B11" i="2"/>
  <c r="C11" i="2"/>
  <c r="D11" i="2"/>
  <c r="E11" i="2"/>
  <c r="F11" i="2"/>
  <c r="G11" i="2"/>
  <c r="H11" i="2"/>
  <c r="C13" i="2"/>
  <c r="D13" i="2"/>
  <c r="E13" i="2"/>
  <c r="F13" i="2"/>
  <c r="G13" i="2"/>
  <c r="H13" i="2"/>
  <c r="B14" i="2"/>
  <c r="C14" i="2"/>
  <c r="D14" i="2"/>
  <c r="E14" i="2"/>
  <c r="F14" i="2"/>
  <c r="G14" i="2"/>
  <c r="H14" i="2"/>
  <c r="B16" i="2"/>
  <c r="C16" i="2"/>
  <c r="D16" i="2"/>
  <c r="E16" i="2"/>
  <c r="F16" i="2"/>
  <c r="G16" i="2"/>
  <c r="H16" i="2"/>
  <c r="B17" i="2"/>
  <c r="C17" i="2"/>
  <c r="D17" i="2"/>
  <c r="E17" i="2"/>
  <c r="F17" i="2"/>
  <c r="G17" i="2"/>
  <c r="H17" i="2"/>
  <c r="B18" i="2"/>
  <c r="C18" i="2"/>
  <c r="D18" i="2"/>
  <c r="E18" i="2"/>
  <c r="F18" i="2"/>
  <c r="G18" i="2"/>
  <c r="H18" i="2"/>
  <c r="B19" i="2"/>
  <c r="C19" i="2"/>
  <c r="D19" i="2"/>
  <c r="E19" i="2"/>
  <c r="F19" i="2"/>
  <c r="G19" i="2"/>
  <c r="H19" i="2"/>
  <c r="B20" i="1"/>
  <c r="B21" i="2"/>
  <c r="C20" i="1"/>
  <c r="C21" i="2"/>
  <c r="D21" i="2"/>
  <c r="E20" i="1"/>
  <c r="E21" i="2"/>
  <c r="F20" i="1"/>
  <c r="F21" i="2"/>
  <c r="G20" i="1"/>
  <c r="G21" i="2"/>
  <c r="H21" i="2"/>
  <c r="B24" i="2"/>
  <c r="B22" i="2"/>
  <c r="C24" i="2"/>
  <c r="C22" i="2"/>
  <c r="D24" i="2"/>
  <c r="D22" i="2"/>
  <c r="E24" i="2"/>
  <c r="E22" i="2"/>
  <c r="F24" i="2"/>
  <c r="F22" i="2"/>
  <c r="G24" i="2"/>
  <c r="G22" i="2"/>
  <c r="H22" i="2"/>
  <c r="B23" i="2"/>
  <c r="C23" i="2"/>
  <c r="D23" i="2"/>
  <c r="E23" i="2"/>
  <c r="F23" i="2"/>
  <c r="G23" i="2"/>
  <c r="H23" i="2"/>
  <c r="H24" i="2"/>
  <c r="B25" i="2"/>
  <c r="C25" i="2"/>
  <c r="D25" i="2"/>
  <c r="E25" i="2"/>
  <c r="F25" i="2"/>
  <c r="G25" i="2"/>
  <c r="H25" i="2"/>
  <c r="B26" i="2"/>
  <c r="C26" i="2"/>
  <c r="D26" i="2"/>
  <c r="E26" i="1"/>
  <c r="E26" i="2"/>
  <c r="F26" i="1"/>
  <c r="F26" i="2"/>
  <c r="G26" i="1"/>
  <c r="G26" i="2"/>
  <c r="H26" i="2"/>
  <c r="B27" i="2"/>
  <c r="C27" i="2"/>
  <c r="D27" i="2"/>
  <c r="E27" i="2"/>
  <c r="F27" i="2"/>
  <c r="G27" i="2"/>
  <c r="H27" i="2"/>
  <c r="B28" i="2"/>
  <c r="C28" i="2"/>
  <c r="D28" i="2"/>
  <c r="E28" i="2"/>
  <c r="F28" i="2"/>
  <c r="G28" i="2"/>
  <c r="H28" i="2"/>
</calcChain>
</file>

<file path=xl/sharedStrings.xml><?xml version="1.0" encoding="utf-8"?>
<sst xmlns="http://schemas.openxmlformats.org/spreadsheetml/2006/main" count="64" uniqueCount="64">
  <si>
    <t>Competition Analysis</t>
  </si>
  <si>
    <t>Company Name</t>
  </si>
  <si>
    <t>Ticker</t>
  </si>
  <si>
    <t>Balance Sheet</t>
  </si>
  <si>
    <t xml:space="preserve"> Current assets</t>
  </si>
  <si>
    <t xml:space="preserve"> Accounts receivable</t>
  </si>
  <si>
    <t xml:space="preserve"> Inventory</t>
  </si>
  <si>
    <t xml:space="preserve"> Net fixed assets</t>
  </si>
  <si>
    <t xml:space="preserve"> Total Assets</t>
  </si>
  <si>
    <t xml:space="preserve"> Current Liabilities</t>
  </si>
  <si>
    <t xml:space="preserve"> Long term debt</t>
  </si>
  <si>
    <t xml:space="preserve"> Total Liabilities</t>
  </si>
  <si>
    <t xml:space="preserve"> Total Equity</t>
  </si>
  <si>
    <t>Income Statement</t>
  </si>
  <si>
    <t xml:space="preserve"> Revenue</t>
  </si>
  <si>
    <t xml:space="preserve"> Operating income (EBIT)</t>
  </si>
  <si>
    <t xml:space="preserve"> Interest expense</t>
  </si>
  <si>
    <t xml:space="preserve"> Net income</t>
  </si>
  <si>
    <t xml:space="preserve"> Shares outstanding</t>
  </si>
  <si>
    <t xml:space="preserve"> Earnings per share (EPS)</t>
  </si>
  <si>
    <t>Statement of Cash Flows</t>
  </si>
  <si>
    <t xml:space="preserve"> Depreciation</t>
  </si>
  <si>
    <t xml:space="preserve"> Dividends paid</t>
  </si>
  <si>
    <t>Market Information</t>
  </si>
  <si>
    <t xml:space="preserve"> Stock Price</t>
  </si>
  <si>
    <t xml:space="preserve"> Dividend per share</t>
  </si>
  <si>
    <t>Competitor Median</t>
  </si>
  <si>
    <t>Liquidity</t>
  </si>
  <si>
    <t xml:space="preserve"> Current Ratio</t>
  </si>
  <si>
    <t xml:space="preserve"> Quick Ratio</t>
  </si>
  <si>
    <t>Asset Management</t>
  </si>
  <si>
    <t xml:space="preserve"> Inventory Turnover</t>
  </si>
  <si>
    <t xml:space="preserve"> Days Sales Outstanding</t>
  </si>
  <si>
    <t xml:space="preserve"> Fixed Asset Turnover</t>
  </si>
  <si>
    <t xml:space="preserve"> Total Asset Turnover</t>
  </si>
  <si>
    <t>Debt Management</t>
  </si>
  <si>
    <t xml:space="preserve"> Liabilities-to-Assets Ratio</t>
  </si>
  <si>
    <t xml:space="preserve"> Times Interest Earned</t>
  </si>
  <si>
    <t>Profitability</t>
  </si>
  <si>
    <t xml:space="preserve"> Operating Margin</t>
  </si>
  <si>
    <t xml:space="preserve"> Net  Profit Margin</t>
  </si>
  <si>
    <t xml:space="preserve"> Return on assets (ROA)</t>
  </si>
  <si>
    <t xml:space="preserve"> Return on equity (ROE)</t>
  </si>
  <si>
    <t>Market Value</t>
  </si>
  <si>
    <t xml:space="preserve"> P/E Ratio</t>
  </si>
  <si>
    <t xml:space="preserve"> M/B Ratio</t>
  </si>
  <si>
    <t xml:space="preserve"> Stock Price Per Share</t>
  </si>
  <si>
    <t xml:space="preserve"> Book Value per Share</t>
  </si>
  <si>
    <t xml:space="preserve"> Earnings Per Share (EPS)</t>
  </si>
  <si>
    <t xml:space="preserve"> Dividend Per Share</t>
  </si>
  <si>
    <t xml:space="preserve"> Operating Cash Flow per Share</t>
  </si>
  <si>
    <t xml:space="preserve"> Dividend Yield</t>
  </si>
  <si>
    <t>Target Company</t>
  </si>
  <si>
    <t>Competitor 1</t>
  </si>
  <si>
    <t>Competitor 2</t>
  </si>
  <si>
    <t>Competitor 3</t>
  </si>
  <si>
    <t>Competitor 4</t>
  </si>
  <si>
    <t>Competitor 5</t>
  </si>
  <si>
    <t>BMW</t>
  </si>
  <si>
    <t>Volkswagen</t>
  </si>
  <si>
    <t>Tesla</t>
  </si>
  <si>
    <t>Toyota</t>
  </si>
  <si>
    <t>Daimler</t>
  </si>
  <si>
    <t>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</si>
</sst>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&quot;$&quot;#,##0.00;\-&quot;$&quot;#,##0.00"/>
    <numFmt numFmtId="165" formatCode="0.00\x"/>
    <numFmt numFmtId="166" formatCode="&quot;$&quot;#,##0.00"/>
    <numFmt numFmtId="167" formatCode="0.0"/>
    <numFmt numFmtId="168" formatCode="0.0%"/>
  </numFmts>
  <fonts count="9">
    <font>
      <sz val="12"/>
      <name val="Times New Roman"/>
    </font>
    <font>
      <sz val="8"/>
      <name val="Times New Roman"/>
      <family val="1"/>
    </font>
    <font>
      <sz val="12"/>
      <name val="Arial"/>
      <family val="2"/>
    </font>
    <font>
      <b/>
      <i/>
      <sz val="12"/>
      <color indexed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4"/>
      <color theme="0"/>
      <name val="Arial"/>
      <family val="2"/>
    </font>
    <font>
      <sz val="9"/>
      <name val="宋体"/>
      <family val="3"/>
      <charset val="134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99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6" fillId="4" borderId="1" xfId="0" applyFont="1" applyFill="1" applyBorder="1" applyAlignment="1">
      <alignment horizontal="center"/>
    </xf>
    <xf numFmtId="43" fontId="2" fillId="0" borderId="0" xfId="1" applyFont="1"/>
    <xf numFmtId="0" fontId="6" fillId="4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left" vertical="center" wrapText="1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/>
    <xf numFmtId="0" fontId="4" fillId="3" borderId="7" xfId="0" applyFont="1" applyFill="1" applyBorder="1" applyAlignment="1" applyProtection="1">
      <alignment horizontal="center"/>
      <protection locked="0"/>
    </xf>
    <xf numFmtId="0" fontId="4" fillId="3" borderId="8" xfId="0" applyFont="1" applyFill="1" applyBorder="1" applyAlignment="1" applyProtection="1">
      <alignment horizontal="center"/>
      <protection locked="0"/>
    </xf>
    <xf numFmtId="4" fontId="2" fillId="0" borderId="7" xfId="0" applyNumberFormat="1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2" fillId="0" borderId="6" xfId="0" applyFont="1" applyBorder="1"/>
    <xf numFmtId="4" fontId="2" fillId="3" borderId="7" xfId="0" applyNumberFormat="1" applyFont="1" applyFill="1" applyBorder="1" applyAlignment="1" applyProtection="1">
      <alignment horizontal="right"/>
      <protection locked="0"/>
    </xf>
    <xf numFmtId="4" fontId="2" fillId="3" borderId="8" xfId="0" applyNumberFormat="1" applyFont="1" applyFill="1" applyBorder="1" applyAlignment="1" applyProtection="1">
      <alignment horizontal="right"/>
      <protection locked="0"/>
    </xf>
    <xf numFmtId="4" fontId="2" fillId="0" borderId="7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/>
    </xf>
    <xf numFmtId="0" fontId="2" fillId="0" borderId="9" xfId="0" applyFont="1" applyBorder="1"/>
    <xf numFmtId="4" fontId="2" fillId="0" borderId="10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2" fillId="0" borderId="6" xfId="0" applyFont="1" applyFill="1" applyBorder="1"/>
    <xf numFmtId="165" fontId="2" fillId="0" borderId="7" xfId="0" applyNumberFormat="1" applyFont="1" applyFill="1" applyBorder="1" applyAlignment="1">
      <alignment horizontal="center"/>
    </xf>
    <xf numFmtId="165" fontId="2" fillId="0" borderId="8" xfId="0" applyNumberFormat="1" applyFont="1" applyFill="1" applyBorder="1" applyAlignment="1">
      <alignment horizontal="center"/>
    </xf>
    <xf numFmtId="167" fontId="2" fillId="0" borderId="7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center"/>
    </xf>
    <xf numFmtId="168" fontId="2" fillId="0" borderId="7" xfId="0" applyNumberFormat="1" applyFont="1" applyFill="1" applyBorder="1" applyAlignment="1">
      <alignment horizontal="center"/>
    </xf>
    <xf numFmtId="168" fontId="2" fillId="0" borderId="8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/>
    </xf>
    <xf numFmtId="164" fontId="2" fillId="0" borderId="8" xfId="0" applyNumberFormat="1" applyFont="1" applyFill="1" applyBorder="1" applyAlignment="1">
      <alignment horizontal="center"/>
    </xf>
    <xf numFmtId="166" fontId="2" fillId="0" borderId="7" xfId="0" applyNumberFormat="1" applyFont="1" applyFill="1" applyBorder="1" applyAlignment="1">
      <alignment horizontal="center"/>
    </xf>
    <xf numFmtId="166" fontId="2" fillId="0" borderId="8" xfId="0" applyNumberFormat="1" applyFont="1" applyFill="1" applyBorder="1" applyAlignment="1">
      <alignment horizontal="center"/>
    </xf>
    <xf numFmtId="0" fontId="2" fillId="0" borderId="9" xfId="0" applyFont="1" applyFill="1" applyBorder="1"/>
    <xf numFmtId="10" fontId="2" fillId="0" borderId="10" xfId="0" applyNumberFormat="1" applyFont="1" applyFill="1" applyBorder="1" applyAlignment="1">
      <alignment horizontal="center"/>
    </xf>
    <xf numFmtId="10" fontId="2" fillId="0" borderId="11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26">
    <dxf>
      <font>
        <color rgb="FF008000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008000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008000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008000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008000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008000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008000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800000"/>
      </font>
      <fill>
        <patternFill patternType="none">
          <fgColor indexed="64"/>
          <bgColor auto="1"/>
        </patternFill>
      </fill>
    </dxf>
    <dxf>
      <font>
        <color rgb="FF008000"/>
      </font>
      <fill>
        <patternFill patternType="none">
          <fgColor indexed="64"/>
          <bgColor auto="1"/>
        </patternFill>
      </fill>
    </dxf>
    <dxf>
      <font>
        <color rgb="FF008000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008000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008000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008000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  <dxf>
      <font>
        <color rgb="FF008000"/>
      </font>
      <fill>
        <patternFill patternType="none">
          <fgColor indexed="64"/>
          <bgColor auto="1"/>
        </patternFill>
      </fill>
    </dxf>
    <dxf>
      <font>
        <color rgb="FF9C0006"/>
      </font>
      <fill>
        <patternFill patternType="none">
          <fgColor indexed="64"/>
          <bgColor auto="1"/>
        </patternFill>
      </fill>
    </dxf>
  </dxfs>
  <tableStyles count="0" defaultTableStyle="TableStyleMedium9" defaultPivotStyle="PivotStyleMedium4"/>
  <colors>
    <mruColors>
      <color rgb="FF006600"/>
      <color rgb="FFFF99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showRuler="0" workbookViewId="0">
      <selection activeCell="H8" sqref="H8"/>
    </sheetView>
  </sheetViews>
  <sheetFormatPr defaultColWidth="10.875" defaultRowHeight="15"/>
  <cols>
    <col min="1" max="1" width="33.5" style="1" customWidth="1"/>
    <col min="2" max="2" width="18.5" style="1" customWidth="1"/>
    <col min="3" max="3" width="17" style="1" customWidth="1"/>
    <col min="4" max="4" width="15" style="1" customWidth="1"/>
    <col min="5" max="5" width="18" style="1" customWidth="1"/>
    <col min="6" max="6" width="14.125" style="1" customWidth="1"/>
    <col min="7" max="7" width="14.5" style="1" customWidth="1"/>
    <col min="8" max="8" width="10.875" style="1"/>
    <col min="9" max="9" width="11.25" style="1" bestFit="1" customWidth="1"/>
    <col min="10" max="16384" width="10.875" style="1"/>
  </cols>
  <sheetData>
    <row r="1" spans="1:9" ht="18.75" thickBot="1">
      <c r="A1" s="6" t="s">
        <v>0</v>
      </c>
      <c r="B1" s="8"/>
      <c r="C1" s="8"/>
      <c r="D1" s="8"/>
      <c r="E1" s="8"/>
      <c r="F1" s="8"/>
      <c r="G1" s="8"/>
    </row>
    <row r="2" spans="1:9" s="2" customFormat="1" ht="16.5" thickTop="1">
      <c r="A2" s="9" t="s">
        <v>1</v>
      </c>
      <c r="B2" s="10" t="s">
        <v>52</v>
      </c>
      <c r="C2" s="10" t="s">
        <v>53</v>
      </c>
      <c r="D2" s="10" t="s">
        <v>54</v>
      </c>
      <c r="E2" s="10" t="s">
        <v>55</v>
      </c>
      <c r="F2" s="10" t="s">
        <v>56</v>
      </c>
      <c r="G2" s="11" t="s">
        <v>57</v>
      </c>
    </row>
    <row r="3" spans="1:9" ht="15.75">
      <c r="A3" s="12" t="s">
        <v>2</v>
      </c>
      <c r="B3" s="13" t="s">
        <v>58</v>
      </c>
      <c r="C3" s="13" t="s">
        <v>59</v>
      </c>
      <c r="D3" s="13" t="s">
        <v>60</v>
      </c>
      <c r="E3" s="13" t="s">
        <v>61</v>
      </c>
      <c r="F3" s="13" t="s">
        <v>62</v>
      </c>
      <c r="G3" s="14" t="s">
        <v>63</v>
      </c>
    </row>
    <row r="4" spans="1:9" ht="15.75">
      <c r="A4" s="12" t="s">
        <v>3</v>
      </c>
      <c r="B4" s="15"/>
      <c r="C4" s="16"/>
      <c r="D4" s="16"/>
      <c r="E4" s="16"/>
      <c r="F4" s="16"/>
      <c r="G4" s="17"/>
    </row>
    <row r="5" spans="1:9">
      <c r="A5" s="18" t="s">
        <v>4</v>
      </c>
      <c r="B5" s="19">
        <f>90630*1.17</f>
        <v>106037.09999999999</v>
      </c>
      <c r="C5" s="19">
        <f>187463*1.17</f>
        <v>219331.71</v>
      </c>
      <c r="D5" s="19">
        <v>12103</v>
      </c>
      <c r="E5" s="19">
        <f>18879237/104.44</f>
        <v>180766.34431252393</v>
      </c>
      <c r="F5" s="19">
        <f>127800*1.17</f>
        <v>149526</v>
      </c>
      <c r="G5" s="20">
        <v>114047</v>
      </c>
    </row>
    <row r="6" spans="1:9">
      <c r="A6" s="18" t="s">
        <v>5</v>
      </c>
      <c r="B6" s="19">
        <f>45134*1.17</f>
        <v>52806.78</v>
      </c>
      <c r="C6" s="19">
        <f>85018*1.17</f>
        <v>99471.06</v>
      </c>
      <c r="D6" s="19">
        <v>1324</v>
      </c>
      <c r="E6" s="19">
        <f>9588661/104.44</f>
        <v>91810.23554193796</v>
      </c>
      <c r="F6" s="19">
        <f>1.17*69604</f>
        <v>81436.679999999993</v>
      </c>
      <c r="G6" s="20">
        <v>53703</v>
      </c>
    </row>
    <row r="7" spans="1:9">
      <c r="A7" s="18" t="s">
        <v>6</v>
      </c>
      <c r="B7" s="19">
        <f>15891*1.17</f>
        <v>18592.469999999998</v>
      </c>
      <c r="C7" s="19">
        <f>46742*1.17</f>
        <v>54688.14</v>
      </c>
      <c r="D7" s="19">
        <v>3552</v>
      </c>
      <c r="E7" s="19">
        <f>2656396/104.44</f>
        <v>25434.661049406357</v>
      </c>
      <c r="F7" s="19">
        <f>29757*1.17</f>
        <v>34815.689999999995</v>
      </c>
      <c r="G7" s="20">
        <v>10786</v>
      </c>
    </row>
    <row r="8" spans="1:9">
      <c r="A8" s="18" t="s">
        <v>7</v>
      </c>
      <c r="B8" s="19">
        <f>65854*1.17</f>
        <v>77049.179999999993</v>
      </c>
      <c r="C8" s="19">
        <f>115090*1.17</f>
        <v>134655.29999999999</v>
      </c>
      <c r="D8" s="19">
        <v>10396</v>
      </c>
      <c r="E8" s="19">
        <f>10685494/104.44</f>
        <v>102312.27499042512</v>
      </c>
      <c r="F8" s="19">
        <f>88625*1.17</f>
        <v>103691.25</v>
      </c>
      <c r="G8" s="20">
        <v>67114</v>
      </c>
    </row>
    <row r="9" spans="1:9">
      <c r="A9" s="18" t="s">
        <v>8</v>
      </c>
      <c r="B9" s="19">
        <f>228034*1.17</f>
        <v>266799.77999999997</v>
      </c>
      <c r="C9" s="19">
        <f>488071*1.17</f>
        <v>571043.06999999995</v>
      </c>
      <c r="D9" s="19">
        <v>34309</v>
      </c>
      <c r="E9" s="19">
        <f>51936949/104.44</f>
        <v>497289.82190731523</v>
      </c>
      <c r="F9" s="19">
        <f>302438*1.17</f>
        <v>353852.45999999996</v>
      </c>
      <c r="G9" s="20">
        <v>258537</v>
      </c>
    </row>
    <row r="10" spans="1:9">
      <c r="A10" s="18" t="s">
        <v>9</v>
      </c>
      <c r="B10" s="19">
        <f>82625*1.17</f>
        <v>96671.25</v>
      </c>
      <c r="C10" s="19">
        <f>167924*1.17</f>
        <v>196471.08</v>
      </c>
      <c r="D10" s="19">
        <v>10667</v>
      </c>
      <c r="E10" s="19">
        <f>18226938/104.44</f>
        <v>174520.66258138645</v>
      </c>
      <c r="F10" s="19">
        <f>1.17*105802</f>
        <v>123788.34</v>
      </c>
      <c r="G10" s="20">
        <v>98132</v>
      </c>
    </row>
    <row r="11" spans="1:9">
      <c r="A11" s="18" t="s">
        <v>10</v>
      </c>
      <c r="B11" s="19">
        <f>69700*1.17</f>
        <v>81549</v>
      </c>
      <c r="C11" s="19">
        <f>104324*1.17</f>
        <v>122059.07999999999</v>
      </c>
      <c r="D11" s="19">
        <v>11634</v>
      </c>
      <c r="E11" s="19">
        <f>10550945/104.44</f>
        <v>101023.98506319418</v>
      </c>
      <c r="F11" s="19">
        <f>1.17*99179</f>
        <v>116039.43</v>
      </c>
      <c r="G11" s="20">
        <v>101361</v>
      </c>
    </row>
    <row r="12" spans="1:9">
      <c r="A12" s="18" t="s">
        <v>11</v>
      </c>
      <c r="B12" s="19">
        <f>168710*1.17</f>
        <v>197390.69999999998</v>
      </c>
      <c r="C12" s="19">
        <f>366290*1.17</f>
        <v>428559.3</v>
      </c>
      <c r="D12" s="19">
        <v>26842</v>
      </c>
      <c r="E12" s="19">
        <f>32090724/104.44</f>
        <v>307264.68785905786</v>
      </c>
      <c r="F12" s="19">
        <f>1.17*241094</f>
        <v>282079.98</v>
      </c>
      <c r="G12" s="20">
        <v>225352</v>
      </c>
      <c r="I12" s="7"/>
    </row>
    <row r="13" spans="1:9">
      <c r="A13" s="18" t="s">
        <v>12</v>
      </c>
      <c r="B13" s="19">
        <f>59324*1.17</f>
        <v>69409.08</v>
      </c>
      <c r="C13" s="19">
        <f>121781*1.17</f>
        <v>142483.76999999999</v>
      </c>
      <c r="D13" s="19">
        <v>7467</v>
      </c>
      <c r="E13" s="19">
        <f>20618888/104.44</f>
        <v>197423.28609728074</v>
      </c>
      <c r="F13" s="19">
        <f>1.17*61344</f>
        <v>71772.479999999996</v>
      </c>
      <c r="G13" s="20">
        <v>33185</v>
      </c>
    </row>
    <row r="14" spans="1:9" ht="15.75">
      <c r="A14" s="12" t="s">
        <v>13</v>
      </c>
      <c r="B14" s="21"/>
      <c r="C14" s="21"/>
      <c r="D14" s="21"/>
      <c r="E14" s="21"/>
      <c r="F14" s="21"/>
      <c r="G14" s="22"/>
    </row>
    <row r="15" spans="1:9">
      <c r="A15" s="18" t="s">
        <v>14</v>
      </c>
      <c r="B15" s="19">
        <f>104210*1.17</f>
        <v>121925.7</v>
      </c>
      <c r="C15" s="19">
        <f>252632*1.17</f>
        <v>295579.44</v>
      </c>
      <c r="D15" s="19">
        <v>24576</v>
      </c>
      <c r="E15" s="19">
        <f>30225681/104.44</f>
        <v>289407.13328226731</v>
      </c>
      <c r="F15" s="19">
        <f>1.17*172745</f>
        <v>202111.65</v>
      </c>
      <c r="G15" s="20">
        <v>155900</v>
      </c>
    </row>
    <row r="16" spans="1:9">
      <c r="A16" s="18" t="s">
        <v>15</v>
      </c>
      <c r="B16" s="19">
        <f>7411*1.17</f>
        <v>8670.869999999999</v>
      </c>
      <c r="C16" s="19">
        <f>16960*1.17</f>
        <v>19843.199999999997</v>
      </c>
      <c r="D16" s="19">
        <v>-69</v>
      </c>
      <c r="E16" s="19">
        <f>2467545/104.44</f>
        <v>23626.436231328993</v>
      </c>
      <c r="F16" s="19">
        <f>1.17*4096</f>
        <v>4792.32</v>
      </c>
      <c r="G16" s="20">
        <v>519</v>
      </c>
    </row>
    <row r="17" spans="1:7">
      <c r="A17" s="18" t="s">
        <v>16</v>
      </c>
      <c r="B17" s="19">
        <f>33*1.17</f>
        <v>38.61</v>
      </c>
      <c r="C17" s="19">
        <f>2208*1.17</f>
        <v>2583.3599999999997</v>
      </c>
      <c r="D17" s="19"/>
      <c r="E17" s="19">
        <v>0</v>
      </c>
      <c r="F17" s="19">
        <v>0</v>
      </c>
      <c r="G17" s="20">
        <v>44</v>
      </c>
    </row>
    <row r="18" spans="1:7">
      <c r="A18" s="18" t="s">
        <v>17</v>
      </c>
      <c r="B18" s="19">
        <f>4978*1.17</f>
        <v>5824.2599999999993</v>
      </c>
      <c r="C18" s="19">
        <f>14030*1.17</f>
        <v>16415.099999999999</v>
      </c>
      <c r="D18" s="19">
        <v>-862</v>
      </c>
      <c r="E18" s="19">
        <f>1882873/104.44</f>
        <v>18028.274607430103</v>
      </c>
      <c r="F18" s="19">
        <f>1.17*2377</f>
        <v>2781.0899999999997</v>
      </c>
      <c r="G18" s="20">
        <v>47</v>
      </c>
    </row>
    <row r="19" spans="1:7">
      <c r="A19" s="18" t="s">
        <v>18</v>
      </c>
      <c r="B19" s="19">
        <v>658.86</v>
      </c>
      <c r="C19" s="19">
        <f>501.3*1.17</f>
        <v>586.52099999999996</v>
      </c>
      <c r="D19" s="19">
        <v>885</v>
      </c>
      <c r="E19" s="19">
        <f>397050/104.44</f>
        <v>3801.7043278437382</v>
      </c>
      <c r="F19" s="19">
        <f>1.17*1069.84</f>
        <v>1251.7127999999998</v>
      </c>
      <c r="G19" s="20">
        <v>4082</v>
      </c>
    </row>
    <row r="20" spans="1:7">
      <c r="A20" s="18" t="s">
        <v>19</v>
      </c>
      <c r="B20" s="21">
        <f t="shared" ref="B20:G20" si="0">B18/B19</f>
        <v>8.8399052909571072</v>
      </c>
      <c r="C20" s="21">
        <f t="shared" si="0"/>
        <v>27.98723319369639</v>
      </c>
      <c r="D20" s="21">
        <f>D18/D19</f>
        <v>-0.97401129943502829</v>
      </c>
      <c r="E20" s="21">
        <f t="shared" si="0"/>
        <v>4.7421558997607356</v>
      </c>
      <c r="F20" s="21">
        <f t="shared" si="0"/>
        <v>2.2218275630000748</v>
      </c>
      <c r="G20" s="22">
        <f t="shared" si="0"/>
        <v>1.1513963743263106E-2</v>
      </c>
    </row>
    <row r="21" spans="1:7" ht="15.75">
      <c r="A21" s="12" t="s">
        <v>20</v>
      </c>
      <c r="B21" s="21"/>
      <c r="C21" s="21"/>
      <c r="D21" s="21"/>
      <c r="E21" s="21"/>
      <c r="F21" s="21"/>
      <c r="G21" s="22"/>
    </row>
    <row r="22" spans="1:7">
      <c r="A22" s="18" t="s">
        <v>21</v>
      </c>
      <c r="B22" s="19">
        <f>6017*1.17</f>
        <v>7039.8899999999994</v>
      </c>
      <c r="C22" s="19">
        <f>20474*1.17</f>
        <v>23954.579999999998</v>
      </c>
      <c r="D22" s="19">
        <v>2342</v>
      </c>
      <c r="E22" s="19">
        <f>1792375/104.44</f>
        <v>17161.767522022215</v>
      </c>
      <c r="F22" s="19">
        <f>1.17*7751</f>
        <v>9068.67</v>
      </c>
      <c r="G22" s="20">
        <v>9689</v>
      </c>
    </row>
    <row r="23" spans="1:7">
      <c r="A23" s="18" t="s">
        <v>22</v>
      </c>
      <c r="B23" s="19">
        <f>2366*1.17</f>
        <v>2768.22</v>
      </c>
      <c r="C23" s="19">
        <f>2899*1.17</f>
        <v>3391.83</v>
      </c>
      <c r="D23" s="19">
        <v>0</v>
      </c>
      <c r="E23" s="19">
        <f>644806/104.44</f>
        <v>6173.9371888165451</v>
      </c>
      <c r="F23" s="19">
        <f>1.17*3477</f>
        <v>4068.0899999999997</v>
      </c>
      <c r="G23" s="20">
        <v>2389</v>
      </c>
    </row>
    <row r="24" spans="1:7" ht="15.75">
      <c r="A24" s="12" t="s">
        <v>23</v>
      </c>
      <c r="B24" s="21"/>
      <c r="C24" s="21"/>
      <c r="D24" s="21"/>
      <c r="E24" s="21"/>
      <c r="F24" s="21"/>
      <c r="G24" s="22"/>
    </row>
    <row r="25" spans="1:7">
      <c r="A25" s="18" t="s">
        <v>24</v>
      </c>
      <c r="B25" s="19">
        <v>62.185000000000002</v>
      </c>
      <c r="C25" s="19">
        <v>137.63999999999999</v>
      </c>
      <c r="D25" s="19">
        <v>429.01</v>
      </c>
      <c r="E25" s="19">
        <f>6932/104.44</f>
        <v>66.37303715051705</v>
      </c>
      <c r="F25" s="19">
        <v>46.37</v>
      </c>
      <c r="G25" s="20">
        <v>6.62</v>
      </c>
    </row>
    <row r="26" spans="1:7" ht="15.75" thickBot="1">
      <c r="A26" s="23" t="s">
        <v>25</v>
      </c>
      <c r="B26" s="24">
        <f>B23/B19</f>
        <v>4.2015299153082593</v>
      </c>
      <c r="C26" s="24">
        <f>C23/C19</f>
        <v>5.7829642928386198</v>
      </c>
      <c r="D26" s="24">
        <f>D23/D19</f>
        <v>0</v>
      </c>
      <c r="E26" s="24">
        <f t="shared" ref="B26:G26" si="1">E23/E19</f>
        <v>1.6239919405616421</v>
      </c>
      <c r="F26" s="24">
        <f t="shared" si="1"/>
        <v>3.2500186943842073</v>
      </c>
      <c r="G26" s="25">
        <f t="shared" si="1"/>
        <v>0.58525232729054388</v>
      </c>
    </row>
    <row r="27" spans="1:7" ht="16.5" thickTop="1">
      <c r="A27" s="3"/>
      <c r="B27" s="5"/>
      <c r="C27" s="4"/>
      <c r="D27" s="4"/>
      <c r="E27" s="4"/>
      <c r="F27" s="4"/>
      <c r="G27" s="4"/>
    </row>
  </sheetData>
  <mergeCells count="1">
    <mergeCell ref="A1:G1"/>
  </mergeCells>
  <phoneticPr fontId="1"/>
  <printOptions horizontalCentered="1" verticalCentered="1"/>
  <pageMargins left="0.75" right="0.75" top="1" bottom="1" header="0.5" footer="0.5"/>
  <pageSetup scale="80" orientation="landscape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opLeftCell="A8" workbookViewId="0">
      <selection activeCell="I16" sqref="I16"/>
    </sheetView>
  </sheetViews>
  <sheetFormatPr defaultColWidth="8.875" defaultRowHeight="15.75"/>
  <cols>
    <col min="1" max="1" width="29.5" bestFit="1" customWidth="1"/>
    <col min="2" max="8" width="14" customWidth="1"/>
  </cols>
  <sheetData>
    <row r="1" spans="1:8" ht="18.75" thickTop="1">
      <c r="A1" s="26" t="str">
        <f>'Financial Data'!A1</f>
        <v>Competition Analysis</v>
      </c>
      <c r="B1" s="27"/>
      <c r="C1" s="27"/>
      <c r="D1" s="27"/>
      <c r="E1" s="27"/>
      <c r="F1" s="27"/>
      <c r="G1" s="27"/>
      <c r="H1" s="28"/>
    </row>
    <row r="2" spans="1:8" ht="30">
      <c r="A2" s="29" t="str">
        <f>'Financial Data'!A2</f>
        <v>Company Name</v>
      </c>
      <c r="B2" s="30" t="str">
        <f>'Financial Data'!B2</f>
        <v>Target Company</v>
      </c>
      <c r="C2" s="30" t="str">
        <f>'Financial Data'!C2</f>
        <v>Competitor 1</v>
      </c>
      <c r="D2" s="30" t="str">
        <f>'Financial Data'!D2</f>
        <v>Competitor 2</v>
      </c>
      <c r="E2" s="30" t="str">
        <f>'Financial Data'!E2</f>
        <v>Competitor 3</v>
      </c>
      <c r="F2" s="30" t="str">
        <f>'Financial Data'!F2</f>
        <v>Competitor 4</v>
      </c>
      <c r="G2" s="30" t="str">
        <f>'Financial Data'!G2</f>
        <v>Competitor 5</v>
      </c>
      <c r="H2" s="31" t="s">
        <v>26</v>
      </c>
    </row>
    <row r="3" spans="1:8">
      <c r="A3" s="32" t="str">
        <f>'Financial Data'!A3</f>
        <v>Ticker</v>
      </c>
      <c r="B3" s="33" t="str">
        <f>'Financial Data'!B3</f>
        <v>BMW</v>
      </c>
      <c r="C3" s="33" t="str">
        <f>'Financial Data'!C3</f>
        <v>Volkswagen</v>
      </c>
      <c r="D3" s="33" t="str">
        <f>'Financial Data'!D3</f>
        <v>Tesla</v>
      </c>
      <c r="E3" s="33" t="str">
        <f>'Financial Data'!E3</f>
        <v>Toyota</v>
      </c>
      <c r="F3" s="33" t="str">
        <f>'Financial Data'!F3</f>
        <v>Daimler</v>
      </c>
      <c r="G3" s="33" t="str">
        <f>'Financial Data'!G3</f>
        <v>Ford</v>
      </c>
      <c r="H3" s="34"/>
    </row>
    <row r="4" spans="1:8">
      <c r="A4" s="35" t="s">
        <v>27</v>
      </c>
      <c r="B4" s="36"/>
      <c r="C4" s="36"/>
      <c r="D4" s="36"/>
      <c r="E4" s="36"/>
      <c r="F4" s="36"/>
      <c r="G4" s="36"/>
      <c r="H4" s="37"/>
    </row>
    <row r="5" spans="1:8">
      <c r="A5" s="38" t="s">
        <v>28</v>
      </c>
      <c r="B5" s="39">
        <f>'Financial Data'!B5/'Financial Data'!B10</f>
        <v>1.0968835098335854</v>
      </c>
      <c r="C5" s="39">
        <f>'Financial Data'!C5/'Financial Data'!C10</f>
        <v>1.1163562087611063</v>
      </c>
      <c r="D5" s="39">
        <f>'Financial Data'!D5/'Financial Data'!D10</f>
        <v>1.1346207931002157</v>
      </c>
      <c r="E5" s="39">
        <f>'Financial Data'!E5/'Financial Data'!E10</f>
        <v>1.0357876347634474</v>
      </c>
      <c r="F5" s="39">
        <f>'Financial Data'!F5/'Financial Data'!F10</f>
        <v>1.2079166745430143</v>
      </c>
      <c r="G5" s="39">
        <f>'Financial Data'!G5/'Financial Data'!G10</f>
        <v>1.1621795133086048</v>
      </c>
      <c r="H5" s="40">
        <f>MEDIAN(C5:G5)</f>
        <v>1.1346207931002157</v>
      </c>
    </row>
    <row r="6" spans="1:8">
      <c r="A6" s="38" t="s">
        <v>29</v>
      </c>
      <c r="B6" s="39">
        <f>('Financial Data'!B5-'Financial Data'!B7)/'Financial Data'!B10</f>
        <v>0.90455673222390309</v>
      </c>
      <c r="C6" s="39">
        <f>('Financial Data'!C5-'Financial Data'!C7)/'Financial Data'!C10</f>
        <v>0.83800409709154156</v>
      </c>
      <c r="D6" s="39">
        <f>('Financial Data'!D5-'Financial Data'!D7)/'Financial Data'!D10</f>
        <v>0.80163119902503044</v>
      </c>
      <c r="E6" s="39">
        <f>('Financial Data'!E5-'Financial Data'!E7)/'Financial Data'!E10</f>
        <v>0.8900475219699544</v>
      </c>
      <c r="F6" s="39">
        <f>('Financial Data'!F5-'Financial Data'!F7)/'Financial Data'!F10</f>
        <v>0.9266649023647946</v>
      </c>
      <c r="G6" s="39">
        <f>('Financial Data'!G5-'Financial Data'!G7)/'Financial Data'!G10</f>
        <v>1.0522663351404231</v>
      </c>
      <c r="H6" s="40">
        <f>MEDIAN(C6:G6)</f>
        <v>0.8900475219699544</v>
      </c>
    </row>
    <row r="7" spans="1:8">
      <c r="A7" s="35" t="s">
        <v>30</v>
      </c>
      <c r="B7" s="36"/>
      <c r="C7" s="36"/>
      <c r="D7" s="36"/>
      <c r="E7" s="36"/>
      <c r="F7" s="36"/>
      <c r="G7" s="36"/>
      <c r="H7" s="37"/>
    </row>
    <row r="8" spans="1:8">
      <c r="A8" s="38" t="s">
        <v>31</v>
      </c>
      <c r="B8" s="39">
        <f>IF('Financial Data'!B7&lt;=0,"N/A",'Financial Data'!B15/'Financial Data'!B7)</f>
        <v>6.5578000125857407</v>
      </c>
      <c r="C8" s="39">
        <f>IF('Financial Data'!C7&lt;=0,"N/A",'Financial Data'!C15/'Financial Data'!C7)</f>
        <v>5.4048179367592315</v>
      </c>
      <c r="D8" s="39">
        <f>IF('Financial Data'!D7&lt;=0,"N/A",'Financial Data'!D15/'Financial Data'!D7)</f>
        <v>6.9189189189189193</v>
      </c>
      <c r="E8" s="39">
        <f>IF('Financial Data'!E7&lt;=0,"N/A",'Financial Data'!E15/'Financial Data'!E7)</f>
        <v>11.378454492477777</v>
      </c>
      <c r="F8" s="39">
        <f>IF('Financial Data'!F7&lt;=0,"N/A",'Financial Data'!F15/'Financial Data'!F7)</f>
        <v>5.8051886950969527</v>
      </c>
      <c r="G8" s="39">
        <f>IF('Financial Data'!G7&lt;=0,"N/A",'Financial Data'!G15/'Financial Data'!G7)</f>
        <v>14.453921750417207</v>
      </c>
      <c r="H8" s="40">
        <f>MEDIAN(C8:G8)</f>
        <v>6.9189189189189193</v>
      </c>
    </row>
    <row r="9" spans="1:8">
      <c r="A9" s="38" t="s">
        <v>32</v>
      </c>
      <c r="B9" s="41">
        <f>'Financial Data'!B6/('Financial Data'!B15/365)</f>
        <v>158.08377315036944</v>
      </c>
      <c r="C9" s="41">
        <f>'Financial Data'!C6/('Financial Data'!C15/365)</f>
        <v>122.83309319484466</v>
      </c>
      <c r="D9" s="41">
        <f>'Financial Data'!D6/('Financial Data'!D15/365)</f>
        <v>19.663899739583336</v>
      </c>
      <c r="E9" s="41">
        <f>'Financial Data'!E6/('Financial Data'!E15/365)</f>
        <v>115.7909813512556</v>
      </c>
      <c r="F9" s="41">
        <f>'Financial Data'!F6/('Financial Data'!F15/365)</f>
        <v>147.0691481663724</v>
      </c>
      <c r="G9" s="41">
        <f>'Financial Data'!G6/('Financial Data'!G15/365)</f>
        <v>125.7318473380372</v>
      </c>
      <c r="H9" s="42">
        <f>MEDIAN(C9:G9)</f>
        <v>122.83309319484466</v>
      </c>
    </row>
    <row r="10" spans="1:8">
      <c r="A10" s="38" t="s">
        <v>33</v>
      </c>
      <c r="B10" s="39">
        <f>'Financial Data'!B15/'Financial Data'!B8</f>
        <v>1.5824399429039999</v>
      </c>
      <c r="C10" s="39">
        <f>'Financial Data'!C15/'Financial Data'!C8</f>
        <v>2.1950821096533151</v>
      </c>
      <c r="D10" s="39">
        <f>'Financial Data'!D15/'Financial Data'!D8</f>
        <v>2.3639861485186611</v>
      </c>
      <c r="E10" s="39">
        <f>'Financial Data'!E15/'Financial Data'!E8</f>
        <v>2.8286648235448917</v>
      </c>
      <c r="F10" s="39">
        <f>'Financial Data'!F15/'Financial Data'!F8</f>
        <v>1.9491678420310297</v>
      </c>
      <c r="G10" s="39">
        <f>'Financial Data'!G15/'Financial Data'!G8</f>
        <v>2.3229132520785529</v>
      </c>
      <c r="H10" s="40">
        <f>MEDIAN(C10:G10)</f>
        <v>2.3229132520785529</v>
      </c>
    </row>
    <row r="11" spans="1:8">
      <c r="A11" s="38" t="s">
        <v>34</v>
      </c>
      <c r="B11" s="39">
        <f>'Financial Data'!B15/'Financial Data'!B9</f>
        <v>0.45699325539173985</v>
      </c>
      <c r="C11" s="39">
        <f>'Financial Data'!C15/'Financial Data'!C9</f>
        <v>0.51761321610995126</v>
      </c>
      <c r="D11" s="39">
        <f>'Financial Data'!D15/'Financial Data'!D9</f>
        <v>0.71631350374537295</v>
      </c>
      <c r="E11" s="39">
        <f>'Financial Data'!E15/'Financial Data'!E9</f>
        <v>0.58196874444819613</v>
      </c>
      <c r="F11" s="39">
        <f>'Financial Data'!F15/'Financial Data'!F9</f>
        <v>0.57117491849569169</v>
      </c>
      <c r="G11" s="39">
        <f>'Financial Data'!G15/'Financial Data'!G9</f>
        <v>0.60300846687321352</v>
      </c>
      <c r="H11" s="40">
        <f>MEDIAN(C11:G11)</f>
        <v>0.58196874444819613</v>
      </c>
    </row>
    <row r="12" spans="1:8">
      <c r="A12" s="35" t="s">
        <v>35</v>
      </c>
      <c r="B12" s="36"/>
      <c r="C12" s="36"/>
      <c r="D12" s="36"/>
      <c r="E12" s="36"/>
      <c r="F12" s="36"/>
      <c r="G12" s="36"/>
      <c r="H12" s="37"/>
    </row>
    <row r="13" spans="1:8">
      <c r="A13" s="38" t="s">
        <v>36</v>
      </c>
      <c r="B13" s="43">
        <f>'Financial Data'!B12/'Financial Data'!B9</f>
        <v>0.739845812466562</v>
      </c>
      <c r="C13" s="43">
        <f>'Financial Data'!C12/'Financial Data'!C9</f>
        <v>0.75048507286849664</v>
      </c>
      <c r="D13" s="43">
        <f>'Financial Data'!D12/'Financial Data'!D9</f>
        <v>0.78236031362033287</v>
      </c>
      <c r="E13" s="43">
        <f>'Financial Data'!E12/'Financial Data'!E9</f>
        <v>0.61787849725250521</v>
      </c>
      <c r="F13" s="43">
        <f>'Financial Data'!F12/'Financial Data'!F9</f>
        <v>0.79716834524762104</v>
      </c>
      <c r="G13" s="43">
        <f>'Financial Data'!G12/'Financial Data'!G9</f>
        <v>0.87164313038365882</v>
      </c>
      <c r="H13" s="44">
        <f>MEDIAN(C13:G13)</f>
        <v>0.78236031362033287</v>
      </c>
    </row>
    <row r="14" spans="1:8">
      <c r="A14" s="38" t="s">
        <v>37</v>
      </c>
      <c r="B14" s="39">
        <f>IF('Financial Data'!B17&gt;0,'Financial Data'!B16/'Financial Data'!B17,"N/A")</f>
        <v>224.57575757575756</v>
      </c>
      <c r="C14" s="39">
        <f>IF('Financial Data'!C17&gt;0,'Financial Data'!C16/'Financial Data'!C17,"N/A")</f>
        <v>7.6811594202898545</v>
      </c>
      <c r="D14" s="39" t="str">
        <f>IF('Financial Data'!D17&gt;0,'Financial Data'!D16/'Financial Data'!D17,"N/A")</f>
        <v>N/A</v>
      </c>
      <c r="E14" s="39" t="str">
        <f>IF('Financial Data'!E17&gt;0,'Financial Data'!E16/'Financial Data'!E17,"N/A")</f>
        <v>N/A</v>
      </c>
      <c r="F14" s="39" t="str">
        <f>IF('Financial Data'!F17&gt;0,'Financial Data'!F16/'Financial Data'!F17,"N/A")</f>
        <v>N/A</v>
      </c>
      <c r="G14" s="39">
        <f>IF('Financial Data'!G17&gt;0,'Financial Data'!G16/'Financial Data'!G17,"N/A")</f>
        <v>11.795454545454545</v>
      </c>
      <c r="H14" s="40">
        <f>MEDIAN(C14:G14)</f>
        <v>9.7383069828721993</v>
      </c>
    </row>
    <row r="15" spans="1:8">
      <c r="A15" s="35" t="s">
        <v>38</v>
      </c>
      <c r="B15" s="36"/>
      <c r="C15" s="36"/>
      <c r="D15" s="36"/>
      <c r="E15" s="36"/>
      <c r="F15" s="36"/>
      <c r="G15" s="36"/>
      <c r="H15" s="37"/>
    </row>
    <row r="16" spans="1:8">
      <c r="A16" s="38" t="s">
        <v>39</v>
      </c>
      <c r="B16" s="43">
        <f>'Financial Data'!B16/'Financial Data'!B15</f>
        <v>7.1116015737453214E-2</v>
      </c>
      <c r="C16" s="43">
        <f>'Financial Data'!C16/'Financial Data'!C15</f>
        <v>6.7133221444630908E-2</v>
      </c>
      <c r="D16" s="43">
        <f>'Financial Data'!D16/'Financial Data'!D15</f>
        <v>-2.8076171875E-3</v>
      </c>
      <c r="E16" s="43">
        <f>'Financial Data'!E16/'Financial Data'!E15</f>
        <v>8.1637366582410512E-2</v>
      </c>
      <c r="F16" s="43">
        <f>'Financial Data'!F16/'Financial Data'!F15</f>
        <v>2.3711250687429446E-2</v>
      </c>
      <c r="G16" s="43">
        <f>'Financial Data'!G16/'Financial Data'!G15</f>
        <v>3.3290570878768441E-3</v>
      </c>
      <c r="H16" s="44">
        <f>MEDIAN(C16:G16)</f>
        <v>2.3711250687429446E-2</v>
      </c>
    </row>
    <row r="17" spans="1:8">
      <c r="A17" s="38" t="s">
        <v>40</v>
      </c>
      <c r="B17" s="43">
        <f>'Financial Data'!B18/'Financial Data'!B15</f>
        <v>4.7768928125899619E-2</v>
      </c>
      <c r="C17" s="43">
        <f>'Financial Data'!C18/'Financial Data'!C15</f>
        <v>5.5535324107793146E-2</v>
      </c>
      <c r="D17" s="43">
        <f>'Financial Data'!D18/'Financial Data'!D15</f>
        <v>-3.5074869791666664E-2</v>
      </c>
      <c r="E17" s="43">
        <f>'Financial Data'!E18/'Financial Data'!E15</f>
        <v>6.2293815646370383E-2</v>
      </c>
      <c r="F17" s="43">
        <f>'Financial Data'!F18/'Financial Data'!F15</f>
        <v>1.3760166719731395E-2</v>
      </c>
      <c r="G17" s="43">
        <f>'Financial Data'!G18/'Financial Data'!G15</f>
        <v>3.0147530468248876E-4</v>
      </c>
      <c r="H17" s="44">
        <f>MEDIAN(C17:G17)</f>
        <v>1.3760166719731395E-2</v>
      </c>
    </row>
    <row r="18" spans="1:8">
      <c r="A18" s="38" t="s">
        <v>41</v>
      </c>
      <c r="B18" s="43">
        <f>'Financial Data'!B18/'Financial Data'!B9</f>
        <v>2.183007797082891E-2</v>
      </c>
      <c r="C18" s="43">
        <f>'Financial Data'!C18/'Financial Data'!C9</f>
        <v>2.8745817719143321E-2</v>
      </c>
      <c r="D18" s="43">
        <f>'Financial Data'!D18/'Financial Data'!D9</f>
        <v>-2.5124602873881487E-2</v>
      </c>
      <c r="E18" s="43">
        <f>'Financial Data'!E18/'Financial Data'!E9</f>
        <v>3.6253053678605568E-2</v>
      </c>
      <c r="F18" s="43">
        <f>'Financial Data'!F18/'Financial Data'!F9</f>
        <v>7.8594621046297088E-3</v>
      </c>
      <c r="G18" s="43">
        <f>'Financial Data'!G18/'Financial Data'!G9</f>
        <v>1.8179216127672248E-4</v>
      </c>
      <c r="H18" s="44">
        <f>MEDIAN(C18:G18)</f>
        <v>7.8594621046297088E-3</v>
      </c>
    </row>
    <row r="19" spans="1:8">
      <c r="A19" s="38" t="s">
        <v>42</v>
      </c>
      <c r="B19" s="43">
        <f>'Financial Data'!B18/'Financial Data'!B13</f>
        <v>8.3912076056907814E-2</v>
      </c>
      <c r="C19" s="43">
        <f>'Financial Data'!C18/'Financial Data'!C13</f>
        <v>0.1152068056593393</v>
      </c>
      <c r="D19" s="43">
        <f>'Financial Data'!D18/'Financial Data'!D13</f>
        <v>-0.1154412749430829</v>
      </c>
      <c r="E19" s="43">
        <f>'Financial Data'!E18/'Financial Data'!E13</f>
        <v>9.1317873204413341E-2</v>
      </c>
      <c r="F19" s="43">
        <f>'Financial Data'!F18/'Financial Data'!F13</f>
        <v>3.8748695878977564E-2</v>
      </c>
      <c r="G19" s="43">
        <f>'Financial Data'!G18/'Financial Data'!G13</f>
        <v>1.4163025463311738E-3</v>
      </c>
      <c r="H19" s="44">
        <f>MEDIAN(C19:G19)</f>
        <v>3.8748695878977564E-2</v>
      </c>
    </row>
    <row r="20" spans="1:8">
      <c r="A20" s="35" t="s">
        <v>43</v>
      </c>
      <c r="B20" s="36"/>
      <c r="C20" s="36"/>
      <c r="D20" s="36"/>
      <c r="E20" s="36"/>
      <c r="F20" s="36"/>
      <c r="G20" s="36"/>
      <c r="H20" s="37"/>
    </row>
    <row r="21" spans="1:8">
      <c r="A21" s="38" t="s">
        <v>44</v>
      </c>
      <c r="B21" s="39">
        <f>'Financial Data'!B25/'Financial Data'!B20</f>
        <v>7.0345776287459705</v>
      </c>
      <c r="C21" s="39">
        <f>'Financial Data'!C25/'Financial Data'!C20</f>
        <v>4.9179566642908048</v>
      </c>
      <c r="D21" s="39">
        <f>'Financial Data'!D25/'Financial Data'!D20</f>
        <v>-440.45690255220416</v>
      </c>
      <c r="E21" s="39">
        <f>'Financial Data'!E25/'Financial Data'!E20</f>
        <v>13.99638446173098</v>
      </c>
      <c r="F21" s="39">
        <f>'Financial Data'!F25/'Financial Data'!F20</f>
        <v>20.870206478754731</v>
      </c>
      <c r="G21" s="39">
        <f>'Financial Data'!G25/'Financial Data'!G20</f>
        <v>574.95404255319147</v>
      </c>
      <c r="H21" s="40">
        <f>MEDIAN(C21:G21)</f>
        <v>13.99638446173098</v>
      </c>
    </row>
    <row r="22" spans="1:8">
      <c r="A22" s="38" t="s">
        <v>45</v>
      </c>
      <c r="B22" s="39">
        <f>'Financial Data'!B25/B24</f>
        <v>0.59028601301155414</v>
      </c>
      <c r="C22" s="39">
        <f>'Financial Data'!C25/C24</f>
        <v>0.56658207766400337</v>
      </c>
      <c r="D22" s="39">
        <f>'Financial Data'!D25/D24</f>
        <v>50.846906388107669</v>
      </c>
      <c r="E22" s="39">
        <f>'Financial Data'!E25/E24</f>
        <v>1.2781200615965709</v>
      </c>
      <c r="F22" s="39">
        <f>'Financial Data'!F25/F24</f>
        <v>0.80869328377673433</v>
      </c>
      <c r="G22" s="39">
        <f>'Financial Data'!G25/G24</f>
        <v>0.81430887449148714</v>
      </c>
      <c r="H22" s="40">
        <f>MEDIAN(C22:G22)</f>
        <v>0.81430887449148714</v>
      </c>
    </row>
    <row r="23" spans="1:8">
      <c r="A23" s="38" t="s">
        <v>46</v>
      </c>
      <c r="B23" s="45">
        <f>'Financial Data'!B25</f>
        <v>62.185000000000002</v>
      </c>
      <c r="C23" s="45">
        <f>'Financial Data'!C25</f>
        <v>137.63999999999999</v>
      </c>
      <c r="D23" s="45">
        <f>'Financial Data'!D25</f>
        <v>429.01</v>
      </c>
      <c r="E23" s="45">
        <f>'Financial Data'!E25</f>
        <v>66.37303715051705</v>
      </c>
      <c r="F23" s="45">
        <f>'Financial Data'!F25</f>
        <v>46.37</v>
      </c>
      <c r="G23" s="45">
        <f>'Financial Data'!G25</f>
        <v>6.62</v>
      </c>
      <c r="H23" s="46">
        <f t="shared" ref="H23:H28" si="0">MEDIAN(C23:G23)</f>
        <v>66.37303715051705</v>
      </c>
    </row>
    <row r="24" spans="1:8">
      <c r="A24" s="38" t="s">
        <v>47</v>
      </c>
      <c r="B24" s="45">
        <f>'Financial Data'!B13/'Financial Data'!B19</f>
        <v>105.34723613514252</v>
      </c>
      <c r="C24" s="45">
        <f>'Financial Data'!C13/'Financial Data'!C19</f>
        <v>242.93038100937562</v>
      </c>
      <c r="D24" s="45">
        <f>'Financial Data'!D13/'Financial Data'!D19</f>
        <v>8.4372881355932208</v>
      </c>
      <c r="E24" s="45">
        <f>'Financial Data'!E13/'Financial Data'!E19</f>
        <v>51.930205263820675</v>
      </c>
      <c r="F24" s="45">
        <f>'Financial Data'!F13/'Financial Data'!F19</f>
        <v>57.33941523966201</v>
      </c>
      <c r="G24" s="45">
        <f>'Financial Data'!G13/'Financial Data'!G19</f>
        <v>8.1295933365997062</v>
      </c>
      <c r="H24" s="46">
        <f t="shared" si="0"/>
        <v>51.930205263820675</v>
      </c>
    </row>
    <row r="25" spans="1:8">
      <c r="A25" s="38" t="s">
        <v>48</v>
      </c>
      <c r="B25" s="47">
        <f>'Financial Data'!B20</f>
        <v>8.8399052909571072</v>
      </c>
      <c r="C25" s="47">
        <f>'Financial Data'!C20</f>
        <v>27.98723319369639</v>
      </c>
      <c r="D25" s="47">
        <f>'Financial Data'!D20</f>
        <v>-0.97401129943502829</v>
      </c>
      <c r="E25" s="47">
        <f>'Financial Data'!E20</f>
        <v>4.7421558997607356</v>
      </c>
      <c r="F25" s="47">
        <f>'Financial Data'!F20</f>
        <v>2.2218275630000748</v>
      </c>
      <c r="G25" s="47">
        <f>'Financial Data'!G20</f>
        <v>1.1513963743263106E-2</v>
      </c>
      <c r="H25" s="48">
        <f t="shared" si="0"/>
        <v>2.2218275630000748</v>
      </c>
    </row>
    <row r="26" spans="1:8">
      <c r="A26" s="38" t="s">
        <v>49</v>
      </c>
      <c r="B26" s="47">
        <f>'Financial Data'!B26</f>
        <v>4.2015299153082593</v>
      </c>
      <c r="C26" s="47">
        <f>'Financial Data'!C26</f>
        <v>5.7829642928386198</v>
      </c>
      <c r="D26" s="47">
        <f>'Financial Data'!D26</f>
        <v>0</v>
      </c>
      <c r="E26" s="47">
        <f>'Financial Data'!E26</f>
        <v>1.6239919405616421</v>
      </c>
      <c r="F26" s="47">
        <f>'Financial Data'!F26</f>
        <v>3.2500186943842073</v>
      </c>
      <c r="G26" s="47">
        <f>'Financial Data'!G26</f>
        <v>0.58525232729054388</v>
      </c>
      <c r="H26" s="48">
        <f t="shared" si="0"/>
        <v>1.6239919405616421</v>
      </c>
    </row>
    <row r="27" spans="1:8">
      <c r="A27" s="38" t="s">
        <v>50</v>
      </c>
      <c r="B27" s="47">
        <f>('Financial Data'!B16+'Financial Data'!B22)/'Financial Data'!B19</f>
        <v>23.845369274200891</v>
      </c>
      <c r="C27" s="47">
        <f>('Financial Data'!C16+'Financial Data'!C22)/'Financial Data'!C19</f>
        <v>74.673847995212455</v>
      </c>
      <c r="D27" s="47">
        <f>('Financial Data'!D16+'Financial Data'!D22)/'Financial Data'!D19</f>
        <v>2.5683615819209038</v>
      </c>
      <c r="E27" s="47">
        <f>('Financial Data'!E16+'Financial Data'!E22)/'Financial Data'!E19</f>
        <v>10.728925827981362</v>
      </c>
      <c r="F27" s="47">
        <f>('Financial Data'!F16+'Financial Data'!F22)/'Financial Data'!F19</f>
        <v>11.073618485007106</v>
      </c>
      <c r="G27" s="47">
        <f>('Financial Data'!G16+'Financial Data'!G22)/'Financial Data'!G19</f>
        <v>2.500734933855953</v>
      </c>
      <c r="H27" s="48">
        <f t="shared" si="0"/>
        <v>10.728925827981362</v>
      </c>
    </row>
    <row r="28" spans="1:8" ht="16.5" thickBot="1">
      <c r="A28" s="49" t="s">
        <v>51</v>
      </c>
      <c r="B28" s="50">
        <f>IF('Financial Data'!B26&gt;0,'Financial Data'!B26/'Financial Data'!B25,"N/A")</f>
        <v>6.7565006276566045E-2</v>
      </c>
      <c r="C28" s="50">
        <f>IF('Financial Data'!C26&gt;0,'Financial Data'!C26/'Financial Data'!C25,"N/A")</f>
        <v>4.2015143074968182E-2</v>
      </c>
      <c r="D28" s="50" t="str">
        <f>IF('Financial Data'!D26&gt;0,'Financial Data'!D26/'Financial Data'!D25,"N/A")</f>
        <v>N/A</v>
      </c>
      <c r="E28" s="50">
        <f>IF('Financial Data'!E26&gt;0,'Financial Data'!E26/'Financial Data'!E25,"N/A")</f>
        <v>2.4467645451854859E-2</v>
      </c>
      <c r="F28" s="50">
        <f>IF('Financial Data'!F26&gt;0,'Financial Data'!F26/'Financial Data'!F25,"N/A")</f>
        <v>7.0088822393448519E-2</v>
      </c>
      <c r="G28" s="50">
        <f>IF('Financial Data'!G26&gt;0,'Financial Data'!G26/'Financial Data'!G25,"N/A")</f>
        <v>8.8406695965338955E-2</v>
      </c>
      <c r="H28" s="51">
        <f t="shared" si="0"/>
        <v>5.6051982734208347E-2</v>
      </c>
    </row>
    <row r="29" spans="1:8" ht="16.5" thickTop="1"/>
  </sheetData>
  <mergeCells count="1">
    <mergeCell ref="A1:H1"/>
  </mergeCells>
  <phoneticPr fontId="7" type="noConversion"/>
  <conditionalFormatting sqref="B5:G5">
    <cfRule type="top10" dxfId="25" priority="27" percent="1" bottom="1" rank="50"/>
    <cfRule type="top10" dxfId="24" priority="28" percent="1" rank="50"/>
  </conditionalFormatting>
  <conditionalFormatting sqref="B6:G6">
    <cfRule type="top10" dxfId="23" priority="25" percent="1" bottom="1" rank="50"/>
    <cfRule type="top10" dxfId="22" priority="26" percent="1" rank="50"/>
  </conditionalFormatting>
  <conditionalFormatting sqref="B8:G8">
    <cfRule type="top10" dxfId="21" priority="23" percent="1" bottom="1" rank="50"/>
    <cfRule type="top10" dxfId="20" priority="24" percent="1" rank="50"/>
  </conditionalFormatting>
  <conditionalFormatting sqref="B10:G10">
    <cfRule type="top10" dxfId="19" priority="21" percent="1" bottom="1" rank="50"/>
    <cfRule type="top10" dxfId="18" priority="22" percent="1" rank="50"/>
  </conditionalFormatting>
  <conditionalFormatting sqref="B11:G11">
    <cfRule type="top10" dxfId="17" priority="19" percent="1" bottom="1" rank="50"/>
    <cfRule type="top10" dxfId="16" priority="20" percent="1" rank="50"/>
  </conditionalFormatting>
  <conditionalFormatting sqref="B9:G9">
    <cfRule type="top10" dxfId="15" priority="17" percent="1" bottom="1" rank="50"/>
    <cfRule type="top10" dxfId="14" priority="18" percent="1" rank="50"/>
  </conditionalFormatting>
  <conditionalFormatting sqref="B14:G14">
    <cfRule type="top10" dxfId="13" priority="15" percent="1" bottom="1" rank="50"/>
    <cfRule type="top10" dxfId="12" priority="16" percent="1" rank="50"/>
  </conditionalFormatting>
  <conditionalFormatting sqref="B16:G16">
    <cfRule type="top10" dxfId="11" priority="13" percent="1" bottom="1" rank="50"/>
    <cfRule type="top10" dxfId="10" priority="14" percent="1" rank="50"/>
  </conditionalFormatting>
  <conditionalFormatting sqref="B21:G21">
    <cfRule type="top10" dxfId="9" priority="11" percent="1" bottom="1" rank="50"/>
    <cfRule type="top10" dxfId="8" priority="12" percent="1" rank="50"/>
  </conditionalFormatting>
  <conditionalFormatting sqref="B22:G22">
    <cfRule type="top10" dxfId="7" priority="9" percent="1" bottom="1" rank="50"/>
    <cfRule type="top10" dxfId="6" priority="10" percent="1" rank="50"/>
  </conditionalFormatting>
  <conditionalFormatting sqref="B17:G17">
    <cfRule type="top10" dxfId="5" priority="7" percent="1" bottom="1" rank="50"/>
    <cfRule type="top10" dxfId="4" priority="8" percent="1" rank="50"/>
  </conditionalFormatting>
  <conditionalFormatting sqref="B18:G18">
    <cfRule type="top10" dxfId="3" priority="5" percent="1" bottom="1" rank="50"/>
    <cfRule type="top10" dxfId="2" priority="6" percent="1" rank="50"/>
  </conditionalFormatting>
  <conditionalFormatting sqref="B19:G19">
    <cfRule type="top10" dxfId="1" priority="1" percent="1" bottom="1" rank="50"/>
    <cfRule type="top10" dxfId="0" priority="2" percent="1" rank="50"/>
  </conditionalFormatting>
  <pageMargins left="0.7" right="0.7" top="0.75" bottom="0.75" header="0.3" footer="0.3"/>
  <pageSetup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Financial Data</vt:lpstr>
      <vt:lpstr>Financial Ratios</vt:lpstr>
      <vt:lpstr>'Financial Data'!Print_Area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</dc:creator>
  <cp:keywords/>
  <dc:description/>
  <cp:lastModifiedBy>user</cp:lastModifiedBy>
  <cp:revision/>
  <dcterms:created xsi:type="dcterms:W3CDTF">2007-11-06T18:11:38Z</dcterms:created>
  <dcterms:modified xsi:type="dcterms:W3CDTF">2020-09-30T20:23:22Z</dcterms:modified>
  <cp:category/>
  <cp:contentStatus/>
</cp:coreProperties>
</file>